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<sst xmlns="http://schemas.openxmlformats.org/spreadsheetml/2006/main" count="66" uniqueCount="66">
  <si>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P[days]</t>
  </si>
  <si>
    <t>t_total[days]</t>
  </si>
  <si>
    <t>t_flat[days]</t>
  </si>
  <si>
    <t>delta_F</t>
  </si>
  <si>
    <t>k</t>
  </si>
  <si>
    <t>x</t>
  </si>
  <si>
    <t>Enter values</t>
  </si>
  <si>
    <t>impact parameter</t>
  </si>
  <si>
    <t>b</t>
  </si>
  <si>
    <t>temp1</t>
  </si>
  <si>
    <t>temp5</t>
  </si>
  <si>
    <t>(equation 7)</t>
  </si>
  <si>
    <t>temp2</t>
  </si>
  <si>
    <t>temp6</t>
  </si>
  <si>
    <t>temp3</t>
  </si>
  <si>
    <t>b^2</t>
  </si>
  <si>
    <t>temp4</t>
  </si>
  <si>
    <t>dummy</t>
  </si>
  <si>
    <t>a/R_star</t>
  </si>
  <si>
    <t>a/R_star</t>
  </si>
  <si>
    <t>(a/R_star)^2</t>
  </si>
  <si>
    <t>(equation 8)</t>
  </si>
  <si>
    <t>temp7</t>
  </si>
  <si>
    <t>stellar density</t>
  </si>
  <si>
    <t>rho_star</t>
  </si>
  <si>
    <t>temp8</t>
  </si>
  <si>
    <t>temp9</t>
  </si>
  <si>
    <t>(solar units)</t>
  </si>
  <si>
    <t>(equation 9)</t>
  </si>
  <si>
    <t>stellar density</t>
  </si>
  <si>
    <t>rho_star</t>
  </si>
  <si>
    <t>r_sol (cgs)</t>
  </si>
  <si>
    <t>m_sol (cgs)</t>
  </si>
  <si>
    <t>(solar units)</t>
  </si>
  <si>
    <t>P (cgs)</t>
  </si>
  <si>
    <t>G (cgs)</t>
  </si>
  <si>
    <t>alternative calculation</t>
  </si>
  <si>
    <t>temp10</t>
  </si>
  <si>
    <t>temp11</t>
  </si>
  <si>
    <t>inclination angle</t>
  </si>
  <si>
    <t xml:space="preserve">i </t>
  </si>
  <si>
    <t>cos i</t>
  </si>
  <si>
    <t>(equations 7 &amp; 8, 13)</t>
  </si>
  <si>
    <t>i[rad]</t>
  </si>
  <si>
    <t>(degrees)</t>
  </si>
  <si>
    <t>stellar mass</t>
  </si>
  <si>
    <t>M_star</t>
  </si>
  <si>
    <t>(solar units)</t>
  </si>
  <si>
    <t>(equation 10)</t>
  </si>
  <si>
    <t>(M-R relation)</t>
  </si>
  <si>
    <t>stellar radius</t>
  </si>
  <si>
    <t>R_star</t>
  </si>
  <si>
    <t>(solar units)</t>
  </si>
  <si>
    <t>(equation 11)</t>
  </si>
  <si>
    <t>orbital radius</t>
  </si>
  <si>
    <t>a</t>
  </si>
  <si>
    <t>p[yr]</t>
  </si>
  <si>
    <t>(astronomical units)</t>
  </si>
  <si>
    <t>(Kepler III)</t>
  </si>
  <si>
    <t>planetary radius</t>
  </si>
  <si>
    <t>R_planet</t>
  </si>
  <si>
    <t>R_p/R_sun</t>
  </si>
  <si>
    <t>(Jupiter units)</t>
  </si>
  <si>
    <t>R_jup/R_sun</t>
  </si>
  <si>
    <t>log (rho)</t>
  </si>
  <si>
    <t>a^3 (cgs)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</si>
</sst>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E+000"/>
  </numFmts>
  <fonts count="8">
    <font>
      <sz val="10"/>
      <name val="Arial"/>
      <family val="0"/>
    </font>
    <font>
      <b/>
      <sz val="10"/>
      <color indexed="8"/>
      <name val="Helvetica"/>
      <family val="2"/>
    </font>
    <font>
      <b/>
      <sz val="12"/>
      <color indexed="10"/>
      <name val="Helvetica"/>
      <family val="2"/>
    </font>
    <font>
      <b/>
      <sz val="12"/>
      <color indexed="11"/>
      <name val="Helvetica"/>
      <family val="2"/>
    </font>
    <font>
      <sz val="10"/>
      <color indexed="8"/>
      <name val="Helvetica"/>
      <family val="2"/>
    </font>
    <font>
      <b/>
      <sz val="10"/>
      <color indexed="12"/>
      <name val="Helvetica"/>
      <family val="2"/>
    </font>
    <font>
      <b/>
      <sz val="12"/>
      <color indexed="13"/>
      <name val="Helvetic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Alignment="1">
      <alignment horizontal="center"/>
    </xf>
    <xf numFmtId="172" fontId="1" fillId="0" borderId="0" xfId="0" applyAlignment="1">
      <alignment horizontal="center"/>
    </xf>
    <xf numFmtId="172" fontId="2" fillId="0" borderId="0" xfId="0" applyAlignment="1">
      <alignment horizontal="center"/>
    </xf>
    <xf numFmtId="172" fontId="3" fillId="0" borderId="0" xfId="0" applyAlignment="1">
      <alignment horizontal="center"/>
    </xf>
    <xf numFmtId="0" fontId="4" fillId="0" borderId="0" xfId="0" applyAlignment="1">
      <alignment horizontal="center"/>
    </xf>
    <xf numFmtId="172" fontId="4" fillId="0" borderId="0" xfId="0" applyAlignment="1">
      <alignment/>
    </xf>
    <xf numFmtId="0" fontId="1" fillId="0" borderId="0" xfId="0" applyAlignment="1">
      <alignment/>
    </xf>
    <xf numFmtId="0" fontId="5" fillId="0" borderId="0" xfId="0" applyAlignment="1">
      <alignment horizontal="center"/>
    </xf>
    <xf numFmtId="172" fontId="5" fillId="0" borderId="0" xfId="0" applyAlignment="1">
      <alignment/>
    </xf>
    <xf numFmtId="0" fontId="4" fillId="0" borderId="0" xfId="0" applyAlignment="1">
      <alignment/>
    </xf>
    <xf numFmtId="0" fontId="6" fillId="0" borderId="0" xfId="0" applyAlignment="1">
      <alignment/>
    </xf>
    <xf numFmtId="0" fontId="6" fillId="0" borderId="0" xfId="0" applyAlignment="1">
      <alignment horizontal="center"/>
    </xf>
    <xf numFmtId="172" fontId="6" fillId="0" borderId="0" xfId="0" applyAlignment="1">
      <alignment/>
    </xf>
    <xf numFmtId="173" fontId="4" fillId="0" borderId="0" xfId="0" applyAlignment="1">
      <alignment/>
    </xf>
    <xf numFmtId="1" fontId="4" fillId="0" borderId="0" xfId="0" applyAlignment="1">
      <alignment/>
    </xf>
    <xf numFmtId="0" fontId="6" fillId="0" borderId="0" xfId="0" applyFont="1" applyAlignment="1">
      <alignment horizontal="center"/>
    </xf>
    <xf numFmtId="172" fontId="6" fillId="0" borderId="0" xfId="0" applyFont="1" applyAlignment="1">
      <alignment/>
    </xf>
    <xf numFmtId="0" fontId="4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00"/>
      <rgbColor rgb="000000FF"/>
      <rgbColor rgb="008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19.57421875" style="0" customWidth="1"/>
    <col min="2" max="5" width="11.57421875" style="0" customWidth="1"/>
    <col min="6" max="6" width="14.57421875" style="0" customWidth="1"/>
    <col min="7" max="9" width="11.57421875" style="0" customWidth="1"/>
    <col min="10" max="16384" width="11.421875" style="0" customWidth="1"/>
  </cols>
  <sheetData>
    <row r="1" spans="1:9" ht="12.75">
      <c r="A1" s="1"/>
      <c r="B1" s="1" t="s">
        <v>0</v>
      </c>
      <c r="C1" s="2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/>
      <c r="I1" s="1"/>
    </row>
    <row r="2" spans="1:9" ht="15.75">
      <c r="A2" s="3" t="s">
        <v>6</v>
      </c>
      <c r="B2" s="4">
        <v>1.211974</v>
      </c>
      <c r="C2" s="4">
        <v>0.086656</v>
      </c>
      <c r="D2" s="4">
        <v>0.040601</v>
      </c>
      <c r="E2" s="4">
        <v>0.011821</v>
      </c>
      <c r="F2" s="4">
        <v>1</v>
      </c>
      <c r="G2" s="4">
        <v>0.8</v>
      </c>
      <c r="H2" s="2"/>
      <c r="I2" s="2"/>
    </row>
    <row r="3" spans="2:6" ht="12.75">
      <c r="B3" s="5"/>
      <c r="C3" s="6"/>
      <c r="F3" s="6"/>
    </row>
    <row r="4" spans="1:9" ht="12.75">
      <c r="A4" s="7" t="s">
        <v>7</v>
      </c>
      <c r="B4" s="8" t="s">
        <v>8</v>
      </c>
      <c r="C4" s="9">
        <f>SQRT(I6)</f>
        <v>0.8185157151736415</v>
      </c>
      <c r="E4" t="s">
        <v>9</v>
      </c>
      <c r="F4" s="6">
        <f>(1-SQRT(E2))^2</f>
        <v>0.7943721554411015</v>
      </c>
      <c r="H4" t="s">
        <v>10</v>
      </c>
      <c r="I4" s="6">
        <f>F4-(F6/F7)*F5</f>
        <v>0.5209485984427227</v>
      </c>
    </row>
    <row r="5" spans="1:9" ht="12.75">
      <c r="A5" t="s">
        <v>11</v>
      </c>
      <c r="B5" s="5"/>
      <c r="C5" s="6"/>
      <c r="E5" t="s">
        <v>12</v>
      </c>
      <c r="F5" s="6">
        <f>(1+SQRT(E2))^2</f>
        <v>1.2292698445588985</v>
      </c>
      <c r="H5" t="s">
        <v>13</v>
      </c>
      <c r="I5" s="6">
        <f>1-(F6/F7)</f>
        <v>0.7775723872112946</v>
      </c>
    </row>
    <row r="6" spans="2:9" ht="12.75">
      <c r="B6" s="5"/>
      <c r="C6" s="6"/>
      <c r="E6" t="s">
        <v>14</v>
      </c>
      <c r="F6" s="6">
        <f>(SIN(D2*PI()/B2))^2</f>
        <v>0.011035260219802378</v>
      </c>
      <c r="H6" t="s">
        <v>15</v>
      </c>
      <c r="I6" s="10">
        <f>I4/I5</f>
        <v>0.6699679759862178</v>
      </c>
    </row>
    <row r="7" spans="2:9" ht="12.75">
      <c r="B7" s="5"/>
      <c r="C7" s="6"/>
      <c r="E7" t="s">
        <v>16</v>
      </c>
      <c r="F7" s="6">
        <f>(SIN(C2*PI()/B2))^2</f>
        <v>0.04961281596941517</v>
      </c>
      <c r="H7" t="s">
        <v>17</v>
      </c>
      <c r="I7" s="6">
        <f>F6/F7</f>
        <v>0.2224276127887054</v>
      </c>
    </row>
    <row r="8" spans="2:6" ht="12.75">
      <c r="B8" s="5"/>
      <c r="C8" s="6"/>
      <c r="F8" s="6"/>
    </row>
    <row r="9" spans="1:6" ht="12.75">
      <c r="A9" s="7" t="s">
        <v>18</v>
      </c>
      <c r="B9" s="8" t="s">
        <v>19</v>
      </c>
      <c r="C9" s="9">
        <f>SQRT(F9)</f>
        <v>3.4559083392109655</v>
      </c>
      <c r="E9" t="s">
        <v>20</v>
      </c>
      <c r="F9">
        <f>F10/F7</f>
        <v>11.943302449027895</v>
      </c>
    </row>
    <row r="10" spans="1:6" ht="12.75">
      <c r="A10" t="s">
        <v>21</v>
      </c>
      <c r="B10" s="5"/>
      <c r="C10" s="6"/>
      <c r="E10" t="s">
        <v>22</v>
      </c>
      <c r="F10" s="6">
        <f>F5-I6*(1-F7)</f>
        <v>0.5925408664706865</v>
      </c>
    </row>
    <row r="11" spans="2:6" ht="12.75">
      <c r="B11" s="5"/>
      <c r="C11" s="6"/>
      <c r="F11" s="6"/>
    </row>
    <row r="12" spans="1:9" ht="15.75">
      <c r="A12" s="11" t="s">
        <v>23</v>
      </c>
      <c r="B12" s="12" t="s">
        <v>24</v>
      </c>
      <c r="C12" s="13">
        <f>F12*C9^3/(B2^2)</f>
        <v>0.3771942891111213</v>
      </c>
      <c r="E12" t="s">
        <v>25</v>
      </c>
      <c r="F12" s="6">
        <f>365.25^2/215^3</f>
        <v>0.013423478435860994</v>
      </c>
      <c r="H12" t="s">
        <v>26</v>
      </c>
      <c r="I12">
        <f>4*PI()/3</f>
        <v>4.1887902047863905</v>
      </c>
    </row>
    <row r="13" spans="1:6" ht="12.75">
      <c r="A13" t="s">
        <v>27</v>
      </c>
      <c r="B13" s="5"/>
      <c r="C13" s="6"/>
      <c r="F13" s="6"/>
    </row>
    <row r="14" spans="1:6" ht="12.75">
      <c r="A14" t="s">
        <v>28</v>
      </c>
      <c r="B14" s="5"/>
      <c r="C14" s="6"/>
      <c r="F14" s="6"/>
    </row>
    <row r="15" spans="2:6" ht="12.75">
      <c r="B15" s="5"/>
      <c r="C15" s="6"/>
      <c r="F15" s="6"/>
    </row>
    <row r="16" spans="1:9" ht="15.75">
      <c r="A16" s="11" t="s">
        <v>29</v>
      </c>
      <c r="B16" s="12" t="s">
        <v>30</v>
      </c>
      <c r="C16" s="13">
        <f>F18*I18</f>
        <v>0.37685828142389677</v>
      </c>
      <c r="E16" t="s">
        <v>31</v>
      </c>
      <c r="F16" s="14">
        <v>69550799999.99998</v>
      </c>
      <c r="H16" t="s">
        <v>32</v>
      </c>
      <c r="I16" s="14">
        <v>1.9890000000000007E+33</v>
      </c>
    </row>
    <row r="17" spans="1:9" ht="15.75">
      <c r="A17" t="s">
        <v>33</v>
      </c>
      <c r="B17" s="16" t="s">
        <v>64</v>
      </c>
      <c r="C17" s="17">
        <f>LOG(C16)</f>
        <v>-0.4238219367085423</v>
      </c>
      <c r="E17" t="s">
        <v>34</v>
      </c>
      <c r="F17" s="15">
        <f>B2*3600*24</f>
        <v>104714.55360000001</v>
      </c>
      <c r="H17" t="s">
        <v>35</v>
      </c>
      <c r="I17" s="14">
        <v>6.67E-08</v>
      </c>
    </row>
    <row r="18" spans="1:9" ht="12.75">
      <c r="A18" t="s">
        <v>36</v>
      </c>
      <c r="B18" s="5"/>
      <c r="C18" s="6"/>
      <c r="E18" t="s">
        <v>37</v>
      </c>
      <c r="F18" s="6">
        <f>F16^3/I16</f>
        <v>0.16914984579916348</v>
      </c>
      <c r="H18" t="s">
        <v>38</v>
      </c>
      <c r="I18">
        <f>4*PI()^2*(C9^3)/((F17^2)*I17)</f>
        <v>2.2279552171235886</v>
      </c>
    </row>
    <row r="19" spans="2:6" ht="12.75">
      <c r="B19" s="5"/>
      <c r="C19" s="6"/>
      <c r="F19" s="6"/>
    </row>
    <row r="20" spans="1:6" ht="15.75">
      <c r="A20" s="11" t="s">
        <v>39</v>
      </c>
      <c r="B20" s="12" t="s">
        <v>40</v>
      </c>
      <c r="C20" s="13">
        <f>F21*180/PI()</f>
        <v>76.29957694914037</v>
      </c>
      <c r="E20" t="s">
        <v>41</v>
      </c>
      <c r="F20">
        <f>C4/C9</f>
        <v>0.23684531961878383</v>
      </c>
    </row>
    <row r="21" spans="1:6" ht="12.75">
      <c r="A21" t="s">
        <v>42</v>
      </c>
      <c r="B21" s="5"/>
      <c r="C21" s="6"/>
      <c r="E21" t="s">
        <v>43</v>
      </c>
      <c r="F21">
        <f>ACOS(F20)</f>
        <v>1.3316788356412697</v>
      </c>
    </row>
    <row r="22" spans="1:6" ht="12.75">
      <c r="A22" t="s">
        <v>44</v>
      </c>
      <c r="B22" s="5"/>
      <c r="C22" s="6"/>
      <c r="F22" s="6"/>
    </row>
    <row r="23" spans="2:6" ht="12.75">
      <c r="B23" s="5"/>
      <c r="C23" s="6"/>
      <c r="F23" s="6"/>
    </row>
    <row r="24" spans="1:6" ht="15.75">
      <c r="A24" s="11" t="s">
        <v>45</v>
      </c>
      <c r="B24" s="12" t="s">
        <v>46</v>
      </c>
      <c r="C24" s="13">
        <f>(F2^3*C16)^(1/(1-3*G2))</f>
        <v>2.0078439428525585</v>
      </c>
      <c r="F24" s="6"/>
    </row>
    <row r="25" spans="1:6" ht="12.75">
      <c r="A25" t="s">
        <v>47</v>
      </c>
      <c r="B25" s="5"/>
      <c r="C25" s="6"/>
      <c r="F25" s="6"/>
    </row>
    <row r="26" spans="1:6" ht="12.75">
      <c r="A26" t="s">
        <v>48</v>
      </c>
      <c r="B26" s="5"/>
      <c r="C26" s="6"/>
      <c r="F26" s="6"/>
    </row>
    <row r="27" spans="1:6" ht="12.75">
      <c r="A27" t="s">
        <v>49</v>
      </c>
      <c r="B27" s="5"/>
      <c r="C27" s="6"/>
      <c r="F27" s="6"/>
    </row>
    <row r="28" spans="2:6" ht="12.75">
      <c r="B28" s="5"/>
      <c r="C28" s="6"/>
      <c r="F28" s="6"/>
    </row>
    <row r="29" spans="1:6" ht="15.75">
      <c r="A29" s="11" t="s">
        <v>50</v>
      </c>
      <c r="B29" s="12" t="s">
        <v>51</v>
      </c>
      <c r="C29" s="13">
        <f>F2*C24^G2</f>
        <v>1.7465618265312834</v>
      </c>
      <c r="F29" s="6"/>
    </row>
    <row r="30" spans="1:6" ht="12.75">
      <c r="A30" t="s">
        <v>52</v>
      </c>
      <c r="B30" s="5"/>
      <c r="C30" s="6"/>
      <c r="F30" s="6"/>
    </row>
    <row r="31" spans="1:6" ht="12.75">
      <c r="A31" t="s">
        <v>53</v>
      </c>
      <c r="B31" s="5"/>
      <c r="C31" s="6"/>
      <c r="F31" s="6"/>
    </row>
    <row r="32" spans="2:6" ht="12.75">
      <c r="B32" s="5"/>
      <c r="C32" s="6"/>
      <c r="F32" s="6"/>
    </row>
    <row r="33" spans="1:9" ht="15.75">
      <c r="A33" s="11" t="s">
        <v>54</v>
      </c>
      <c r="B33" s="12" t="s">
        <v>55</v>
      </c>
      <c r="C33" s="13">
        <f>F34^(1/3)/15000000000000</f>
        <v>0.02798704523616592</v>
      </c>
      <c r="E33" t="s">
        <v>56</v>
      </c>
      <c r="F33" s="6">
        <f>B2/365.25</f>
        <v>0.0033182039698836418</v>
      </c>
      <c r="H33" t="str">
        <f>E17</f>
        <v>P (cgs)</v>
      </c>
      <c r="I33">
        <f>F17</f>
        <v>104714.55360000001</v>
      </c>
    </row>
    <row r="34" spans="1:6" ht="12.75">
      <c r="A34" t="s">
        <v>57</v>
      </c>
      <c r="B34" s="5"/>
      <c r="C34" s="6"/>
      <c r="E34" t="s">
        <v>65</v>
      </c>
      <c r="F34" s="18">
        <f>(I33^2)*I17*C24*I16/(4*PI()^2)</f>
        <v>7.398521265599188E+34</v>
      </c>
    </row>
    <row r="35" spans="1:6" ht="12.75">
      <c r="A35" t="s">
        <v>58</v>
      </c>
      <c r="B35" s="5"/>
      <c r="C35" s="6"/>
      <c r="F35" s="6"/>
    </row>
    <row r="36" spans="2:6" ht="12.75">
      <c r="B36" s="5"/>
      <c r="C36" s="6"/>
      <c r="F36" s="6"/>
    </row>
    <row r="37" spans="1:6" ht="15.75">
      <c r="A37" s="11" t="s">
        <v>59</v>
      </c>
      <c r="B37" s="12" t="s">
        <v>60</v>
      </c>
      <c r="C37" s="13">
        <f>F37/F38</f>
        <v>1.847377949726258</v>
      </c>
      <c r="E37" t="s">
        <v>61</v>
      </c>
      <c r="F37" s="6">
        <f>C29*SQRT(E2)</f>
        <v>0.18989392556495344</v>
      </c>
    </row>
    <row r="38" spans="1:6" ht="12.75">
      <c r="A38" t="s">
        <v>62</v>
      </c>
      <c r="B38" s="5"/>
      <c r="C38" s="6"/>
      <c r="E38" t="s">
        <v>63</v>
      </c>
      <c r="F38" s="6">
        <f>71492/695508</f>
        <v>0.10279105344582665</v>
      </c>
    </row>
  </sheetData>
  <printOptions gridLines="1"/>
  <pageMargins left="0.75" right="0.75" top="1" bottom="1" header="0.511811023" footer="0.51181102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Kaspar von Braun</cp:lastModifiedBy>
  <dcterms:modified xsi:type="dcterms:W3CDTF">2004-09-21T21:53:19Z</dcterms:modified>
  <cp:category/>
  <cp:version/>
  <cp:contentType/>
  <cp:contentStatus/>
</cp:coreProperties>
</file>